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<sst xmlns="http://schemas.openxmlformats.org/spreadsheetml/2006/main" count="121" uniqueCount="115">
  <si>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</si>
  <si>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</si>
  <si>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</si>
  <si>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</si>
  <si>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</si>
  <si>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</si>
  <si>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</si>
  <si>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</si>
  <si>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</si>
  <si>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</si>
  <si>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</si>
  <si>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</si>
  <si>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</si>
  <si>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</si>
  <si>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</si>
  <si>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</si>
  <si>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</si>
  <si>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</si>
  <si>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</si>
  <si>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</si>
  <si>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</si>
  <si>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</si>
  <si>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</si>
  <si>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</si>
  <si>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</si>
  <si>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</si>
  <si>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</si>
  <si>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</si>
  <si>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</si>
  <si>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</si>
  <si>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</si>
  <si>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</si>
  <si>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</si>
  <si>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</si>
  <si>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</si>
  <si>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</si>
  <si>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</si>
  <si>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</si>
  <si>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</si>
  <si>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</si>
  <si>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</si>
  <si>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</si>
  <si>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</si>
  <si>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</si>
  <si>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</si>
  <si>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</si>
  <si>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</si>
  <si>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</si>
  <si>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</si>
  <si>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</si>
  <si>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</si>
  <si>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</si>
  <si>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</si>
  <si>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</si>
  <si>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</si>
  <si>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</si>
  <si>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</si>
  <si>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</si>
  <si>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</si>
  <si>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</si>
  <si>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</si>
  <si>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</si>
  <si>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</si>
  <si>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</si>
  <si>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</si>
  <si>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</si>
  <si>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</si>
  <si>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</si>
  <si>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</si>
  <si>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</si>
  <si>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</si>
  <si>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</si>
  <si>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</si>
  <si>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</si>
  <si>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</si>
  <si>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</si>
  <si>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</si>
  <si>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</si>
  <si>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</si>
  <si>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</si>
  <si>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</si>
  <si>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</si>
  <si>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</si>
  <si>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</si>
  <si>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</si>
  <si>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</si>
  <si>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</si>
  <si>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</si>
  <si>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</si>
  <si>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</si>
  <si>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</si>
  <si>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</si>
  <si>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</si>
  <si>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</si>
  <si>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</si>
  <si>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</si>
  <si>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</si>
  <si>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</si>
  <si>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</si>
  <si>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</si>
  <si>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</si>
  <si>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</si>
  <si>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</si>
  <si>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</si>
  <si>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</si>
  <si>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</si>
  <si>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</si>
  <si>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</si>
  <si>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</si>
  <si>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</si>
  <si>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7 місяців</t>
  </si>
  <si>
    <t>Залишок призначень до плану 7 місяців</t>
  </si>
  <si>
    <t>Капітальний ремонт міжквартального проїзду віж ж/б № 184 до ж/б № 180 по вул.Благовісна</t>
  </si>
  <si>
    <t>Капітальний ремонт вул.Сумгаїтська (від вул.Одеська до вул.30-річчя Перемоги) в м.Черкаси</t>
  </si>
  <si>
    <t>Касові видатки станом на 19.07.19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</si>
</sst>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1" fillId="0" borderId="14" xfId="112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4" fontId="35" fillId="54" borderId="14" xfId="107" applyNumberFormat="1" applyFont="1" applyFill="1" applyBorder="1" applyAlignment="1">
      <alignment horizontal="center" vertical="center"/>
      <protection/>
    </xf>
    <xf numFmtId="4" fontId="35" fillId="0" borderId="14" xfId="107" applyNumberFormat="1" applyFont="1" applyFill="1" applyBorder="1" applyAlignment="1">
      <alignment horizontal="center" vertical="center"/>
      <protection/>
    </xf>
    <xf numFmtId="4" fontId="32" fillId="0" borderId="14" xfId="107" applyNumberFormat="1" applyFont="1" applyFill="1" applyBorder="1" applyAlignment="1">
      <alignment horizontal="center" vertical="center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F23" sqref="F23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18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20" t="s">
        <v>13</v>
      </c>
      <c r="E1" s="121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0.25" customHeight="1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2" t="s">
        <v>3</v>
      </c>
      <c r="B7" s="13"/>
      <c r="C7" s="122" t="s">
        <v>0</v>
      </c>
      <c r="D7" s="105" t="s">
        <v>1</v>
      </c>
      <c r="E7" s="105" t="s">
        <v>16</v>
      </c>
      <c r="F7" s="105" t="s">
        <v>37</v>
      </c>
      <c r="G7" s="14" t="s">
        <v>38</v>
      </c>
      <c r="H7" s="118" t="s">
        <v>114</v>
      </c>
      <c r="I7" s="14" t="s">
        <v>38</v>
      </c>
      <c r="J7" s="108" t="s">
        <v>2</v>
      </c>
      <c r="K7" s="106" t="s">
        <v>110</v>
      </c>
    </row>
    <row r="8" spans="1:26" ht="39.75" customHeight="1">
      <c r="A8" s="122"/>
      <c r="B8" s="1" t="s">
        <v>17</v>
      </c>
      <c r="C8" s="122"/>
      <c r="D8" s="105"/>
      <c r="E8" s="105"/>
      <c r="F8" s="105"/>
      <c r="G8" s="49" t="s">
        <v>39</v>
      </c>
      <c r="H8" s="119"/>
      <c r="I8" s="49" t="s">
        <v>109</v>
      </c>
      <c r="J8" s="109"/>
      <c r="K8" s="107"/>
      <c r="M8" s="116" t="s">
        <v>111</v>
      </c>
      <c r="N8" s="108" t="s">
        <v>22</v>
      </c>
      <c r="O8" s="106" t="s">
        <v>23</v>
      </c>
      <c r="P8" s="108" t="s">
        <v>24</v>
      </c>
      <c r="Q8" s="108" t="s">
        <v>25</v>
      </c>
      <c r="R8" s="108" t="s">
        <v>26</v>
      </c>
      <c r="S8" s="108" t="s">
        <v>27</v>
      </c>
      <c r="T8" s="108" t="s">
        <v>28</v>
      </c>
      <c r="U8" s="108" t="s">
        <v>29</v>
      </c>
      <c r="V8" s="108" t="s">
        <v>30</v>
      </c>
      <c r="W8" s="108" t="s">
        <v>31</v>
      </c>
      <c r="X8" s="108" t="s">
        <v>32</v>
      </c>
      <c r="Y8" s="108" t="s">
        <v>33</v>
      </c>
      <c r="Z8" s="108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7"/>
      <c r="N9" s="109"/>
      <c r="O9" s="107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s="15" customFormat="1" ht="19.5" customHeight="1">
      <c r="A10" s="110" t="s">
        <v>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124319500.95</v>
      </c>
      <c r="I11" s="8"/>
      <c r="J11" s="38">
        <f aca="true" t="shared" si="0" ref="J11:J19">H11/D11*100</f>
        <v>66.90396069664598</v>
      </c>
      <c r="K11" s="38">
        <f>(H11/(N11+O11+P11+Q11+R11+O28+P28+Q28+R28+S11+S28+T11+T28))*100</f>
        <v>95.19450815372986</v>
      </c>
      <c r="L11" s="73"/>
      <c r="M11" s="46">
        <f>N11+O11+P11+Q11+R11+S11+T11-H12</f>
        <v>2378190.2099999785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18576627.5</v>
      </c>
      <c r="U11" s="43">
        <f t="shared" si="1"/>
        <v>11179247.96</v>
      </c>
      <c r="V11" s="43">
        <f t="shared" si="1"/>
        <v>6715162.279999999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111881735.32000001</v>
      </c>
      <c r="I12" s="37"/>
      <c r="J12" s="51">
        <f t="shared" si="0"/>
        <v>76.01673418633641</v>
      </c>
      <c r="K12" s="66">
        <f>(H12/(N11+O11+P11+Q11+R11+S11+T11))*100</f>
        <v>97.9186138981199</v>
      </c>
      <c r="L12" s="73"/>
      <c r="M12" s="42">
        <f>(N12+O12+P12+Q12+R12+S12+T12)-(H13+H16+H17+H18+H19)</f>
        <v>1605742.809999995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v>42264291.3</v>
      </c>
      <c r="I13" s="17"/>
      <c r="J13" s="17">
        <f t="shared" si="0"/>
        <v>86.43181107998117</v>
      </c>
      <c r="K13" s="113">
        <f>((H13+H16+H17+H18+H19)/(N12+O12+P12+Q12+R12+S12+T12))*100</f>
        <v>97.31773430825015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4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4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v>3737767.1999999997</v>
      </c>
      <c r="I16" s="17"/>
      <c r="J16" s="17">
        <f t="shared" si="0"/>
        <v>59.32963809523809</v>
      </c>
      <c r="K16" s="114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v>2396019</v>
      </c>
      <c r="I17" s="17"/>
      <c r="J17" s="17">
        <f t="shared" si="0"/>
        <v>48.89834693877551</v>
      </c>
      <c r="K17" s="114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4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v>9861345.73</v>
      </c>
      <c r="I19" s="17"/>
      <c r="J19" s="17">
        <f t="shared" si="0"/>
        <v>97.01751911063013</v>
      </c>
      <c r="K19" s="115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53622312.09</v>
      </c>
      <c r="I20" s="33"/>
      <c r="J20" s="33">
        <f>H20/D20*100</f>
        <v>69.75994916788535</v>
      </c>
      <c r="K20" s="113">
        <f>(H20/(N20+O20+P20+Q20+R20+S20+T20))*100</f>
        <v>98.57992312634086</v>
      </c>
      <c r="L20" s="73"/>
      <c r="M20" s="42">
        <f>(N20+O20+P20+Q20+R20+S20+T20)-(H20)</f>
        <v>772447.3999999985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</f>
        <v>9442942.18</v>
      </c>
      <c r="U20" s="77">
        <f>3600000+4000000-900000-360000-2000000</f>
        <v>4340000</v>
      </c>
      <c r="V20" s="77">
        <f>2203922.28+2000000+2000000+200000+120000+400-2158246</f>
        <v>4366076.279999999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v>18171625.709999997</v>
      </c>
      <c r="I21" s="21"/>
      <c r="J21" s="21">
        <f aca="true" t="shared" si="5" ref="J21:J27">H21/D21*100</f>
        <v>63.72677644559215</v>
      </c>
      <c r="K21" s="114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v>304046.85</v>
      </c>
      <c r="I22" s="21"/>
      <c r="J22" s="21">
        <f t="shared" si="5"/>
        <v>20.269749460501078</v>
      </c>
      <c r="K22" s="114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v>1885408.3399999999</v>
      </c>
      <c r="I23" s="21"/>
      <c r="J23" s="21">
        <f t="shared" si="5"/>
        <v>72.51564960334646</v>
      </c>
      <c r="K23" s="114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v>1080764.1900000002</v>
      </c>
      <c r="I24" s="21"/>
      <c r="J24" s="21">
        <f t="shared" si="5"/>
        <v>60.042455000000004</v>
      </c>
      <c r="K24" s="114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v>1460551.69</v>
      </c>
      <c r="I25" s="21"/>
      <c r="J25" s="21">
        <f t="shared" si="5"/>
        <v>33.194303781789436</v>
      </c>
      <c r="K25" s="114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v>616639.1699999999</v>
      </c>
      <c r="I26" s="21">
        <v>17240.18</v>
      </c>
      <c r="J26" s="21">
        <f t="shared" si="5"/>
        <v>40.635455048977235</v>
      </c>
      <c r="K26" s="114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125">
        <f t="shared" si="4"/>
        <v>36534501.33</v>
      </c>
      <c r="E27" s="126">
        <f>21000000+15534501.33</f>
        <v>36534501.33</v>
      </c>
      <c r="F27" s="127"/>
      <c r="G27" s="126"/>
      <c r="H27" s="126">
        <f>30090938.14+12338</f>
        <v>30103276.14</v>
      </c>
      <c r="I27" s="21"/>
      <c r="J27" s="21">
        <f t="shared" si="5"/>
        <v>82.3968441996523</v>
      </c>
      <c r="K27" s="115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12437765.629999999</v>
      </c>
      <c r="I28" s="51"/>
      <c r="J28" s="51">
        <f>H28/D28*100</f>
        <v>32.19096138229936</v>
      </c>
      <c r="K28" s="101">
        <f>(H28/(N28+O28+P28+Q28+R28+S28+T28))*100</f>
        <v>76.14032778934495</v>
      </c>
      <c r="L28" s="73"/>
      <c r="M28" s="47">
        <f>(N28+O28+P28+Q28+R28+S28+T28)-H28</f>
        <v>3897553.630000001</v>
      </c>
      <c r="N28" s="82">
        <f>SUM(N29:N81)</f>
        <v>0</v>
      </c>
      <c r="O28" s="82">
        <f aca="true" t="shared" si="6" ref="O28:Y28">SUM(O29:O81)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5700477.43</v>
      </c>
      <c r="U28" s="82">
        <f t="shared" si="6"/>
        <v>7648786.44</v>
      </c>
      <c r="V28" s="82">
        <f t="shared" si="6"/>
        <v>654403</v>
      </c>
      <c r="W28" s="82">
        <f t="shared" si="6"/>
        <v>7429290.13</v>
      </c>
      <c r="X28" s="82">
        <f t="shared" si="6"/>
        <v>4066825.87</v>
      </c>
      <c r="Y28" s="82">
        <f t="shared" si="6"/>
        <v>2502822.26</v>
      </c>
      <c r="Z28" s="42">
        <f>SUM(N28:Y28)</f>
        <v>38637446.95999999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8">G29</f>
        <v>1500000</v>
      </c>
      <c r="G29" s="53">
        <v>1500000</v>
      </c>
      <c r="H29" s="53">
        <v>988060</v>
      </c>
      <c r="I29" s="53"/>
      <c r="J29" s="17">
        <f>H29/D29*100</f>
        <v>65.87066666666666</v>
      </c>
      <c r="K29" s="48">
        <f aca="true" t="shared" si="8" ref="K29:K92">(H29/(N29+O29+P29+Q29+R29+S29+T29))*100</f>
        <v>65.87066666666666</v>
      </c>
      <c r="L29" s="73"/>
      <c r="M29" s="42">
        <f>(N29+O29+P29+Q29+R29+S29+T29)-H29</f>
        <v>511940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1" ref="J30:J81">H30/D30*100</f>
        <v>0</v>
      </c>
      <c r="K30" s="48">
        <f t="shared" si="8"/>
        <v>0</v>
      </c>
      <c r="L30" s="73"/>
      <c r="M30" s="42">
        <f aca="true" t="shared" si="12" ref="M30:M68">(N30+O30+P30+Q30+R30+S30+T30)-H30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7"/>
        <v>3700000</v>
      </c>
      <c r="G31" s="17">
        <v>3700000</v>
      </c>
      <c r="H31" s="53">
        <v>300000</v>
      </c>
      <c r="I31" s="53"/>
      <c r="J31" s="17">
        <f t="shared" si="11"/>
        <v>8.108108108108109</v>
      </c>
      <c r="K31" s="48">
        <f t="shared" si="8"/>
        <v>129.20230496912063</v>
      </c>
      <c r="L31" s="73"/>
      <c r="M31" s="42">
        <f t="shared" si="12"/>
        <v>-67806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9"/>
        <v>0</v>
      </c>
    </row>
    <row r="32" spans="1:27" ht="18">
      <c r="A32" s="26"/>
      <c r="B32" s="27"/>
      <c r="C32" s="81" t="s">
        <v>112</v>
      </c>
      <c r="D32" s="17">
        <f t="shared" si="10"/>
        <v>450000</v>
      </c>
      <c r="E32" s="17"/>
      <c r="F32" s="17">
        <f t="shared" si="7"/>
        <v>450000</v>
      </c>
      <c r="G32" s="17">
        <v>450000</v>
      </c>
      <c r="H32" s="53"/>
      <c r="I32" s="53"/>
      <c r="J32" s="84">
        <f t="shared" si="11"/>
        <v>0</v>
      </c>
      <c r="K32" s="99" t="e">
        <f t="shared" si="8"/>
        <v>#DIV/0!</v>
      </c>
      <c r="L32" s="73"/>
      <c r="M32" s="42">
        <f t="shared" si="12"/>
        <v>0</v>
      </c>
      <c r="N32" s="83"/>
      <c r="O32" s="83"/>
      <c r="P32" s="83"/>
      <c r="Q32" s="83"/>
      <c r="R32" s="83"/>
      <c r="S32" s="83"/>
      <c r="T32" s="83"/>
      <c r="U32" s="83">
        <f>450000</f>
        <v>450000</v>
      </c>
      <c r="V32" s="83"/>
      <c r="W32" s="83"/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7"/>
        <v>112000</v>
      </c>
      <c r="G33" s="17">
        <v>112000</v>
      </c>
      <c r="H33" s="53">
        <v>111464.65</v>
      </c>
      <c r="I33" s="53"/>
      <c r="J33" s="17">
        <f t="shared" si="11"/>
        <v>99.52200892857142</v>
      </c>
      <c r="K33" s="48">
        <f t="shared" si="8"/>
        <v>99.52200892857142</v>
      </c>
      <c r="L33" s="73"/>
      <c r="M33" s="42">
        <f t="shared" si="12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7"/>
        <v>300000</v>
      </c>
      <c r="G34" s="17">
        <v>300000</v>
      </c>
      <c r="H34" s="53"/>
      <c r="I34" s="53"/>
      <c r="J34" s="84"/>
      <c r="K34" s="48">
        <f t="shared" si="8"/>
        <v>0</v>
      </c>
      <c r="L34" s="73"/>
      <c r="M34" s="42">
        <f t="shared" si="12"/>
        <v>787.429999999993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</f>
        <v>299212.57</v>
      </c>
      <c r="V34" s="83"/>
      <c r="W34" s="83"/>
      <c r="X34" s="83"/>
      <c r="Y34" s="83"/>
      <c r="Z34" s="42">
        <f t="shared" si="13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7"/>
        <v>1490000</v>
      </c>
      <c r="G35" s="17">
        <v>1490000</v>
      </c>
      <c r="H35" s="53"/>
      <c r="I35" s="53"/>
      <c r="J35" s="84">
        <f t="shared" si="11"/>
        <v>0</v>
      </c>
      <c r="K35" s="48">
        <f t="shared" si="8"/>
        <v>0</v>
      </c>
      <c r="L35" s="73"/>
      <c r="M35" s="42">
        <f t="shared" si="12"/>
        <v>80000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</f>
        <v>80000</v>
      </c>
      <c r="U35" s="83"/>
      <c r="V35" s="83"/>
      <c r="W35" s="83"/>
      <c r="X35" s="83">
        <v>1000000</v>
      </c>
      <c r="Y35" s="83">
        <v>410000</v>
      </c>
      <c r="Z35" s="42">
        <f t="shared" si="13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1"/>
        <v>0</v>
      </c>
      <c r="K36" s="48">
        <f t="shared" si="8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7"/>
        <v>375000</v>
      </c>
      <c r="G37" s="17">
        <v>375000</v>
      </c>
      <c r="H37" s="53"/>
      <c r="I37" s="53"/>
      <c r="J37" s="84">
        <f t="shared" si="11"/>
        <v>0</v>
      </c>
      <c r="K37" s="48">
        <f t="shared" si="8"/>
        <v>0</v>
      </c>
      <c r="L37" s="73"/>
      <c r="M37" s="42">
        <f t="shared" si="12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7"/>
        <v>163736</v>
      </c>
      <c r="G38" s="17">
        <v>163736</v>
      </c>
      <c r="H38" s="53"/>
      <c r="I38" s="53"/>
      <c r="J38" s="84"/>
      <c r="K38" s="99" t="e">
        <f t="shared" si="8"/>
        <v>#DIV/0!</v>
      </c>
      <c r="L38" s="73"/>
      <c r="M38" s="42">
        <f t="shared" si="12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7"/>
        <v>262000</v>
      </c>
      <c r="G39" s="17">
        <v>262000</v>
      </c>
      <c r="H39" s="53"/>
      <c r="I39" s="53"/>
      <c r="J39" s="84"/>
      <c r="K39" s="99" t="e">
        <f t="shared" si="8"/>
        <v>#DIV/0!</v>
      </c>
      <c r="L39" s="73"/>
      <c r="M39" s="42">
        <f t="shared" si="12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</f>
        <v>41667</v>
      </c>
      <c r="V39" s="83"/>
      <c r="W39" s="83">
        <f>220333</f>
        <v>220333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7"/>
        <v>1490000</v>
      </c>
      <c r="G40" s="17">
        <v>1490000</v>
      </c>
      <c r="H40" s="53"/>
      <c r="I40" s="53"/>
      <c r="J40" s="84">
        <f t="shared" si="11"/>
        <v>0</v>
      </c>
      <c r="K40" s="48" t="e">
        <f t="shared" si="8"/>
        <v>#DIV/0!</v>
      </c>
      <c r="L40" s="73"/>
      <c r="M40" s="42">
        <f t="shared" si="12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</f>
        <v>100000</v>
      </c>
      <c r="V40" s="83"/>
      <c r="W40" s="83"/>
      <c r="X40" s="83">
        <v>1000000</v>
      </c>
      <c r="Y40" s="83">
        <v>390000</v>
      </c>
      <c r="Z40" s="42">
        <f t="shared" si="13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7"/>
        <v>1400000</v>
      </c>
      <c r="G41" s="17">
        <v>1400000</v>
      </c>
      <c r="H41" s="53">
        <v>649000</v>
      </c>
      <c r="I41" s="53"/>
      <c r="J41" s="17">
        <f t="shared" si="11"/>
        <v>46.35714285714286</v>
      </c>
      <c r="K41" s="48">
        <f t="shared" si="8"/>
        <v>100</v>
      </c>
      <c r="L41" s="73"/>
      <c r="M41" s="42">
        <f t="shared" si="12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7"/>
        <v>400000</v>
      </c>
      <c r="G42" s="17">
        <v>400000</v>
      </c>
      <c r="H42" s="53"/>
      <c r="I42" s="53"/>
      <c r="J42" s="17"/>
      <c r="K42" s="48">
        <f t="shared" si="8"/>
        <v>0</v>
      </c>
      <c r="L42" s="73"/>
      <c r="M42" s="42">
        <f t="shared" si="12"/>
        <v>295000</v>
      </c>
      <c r="N42" s="83"/>
      <c r="O42" s="83"/>
      <c r="P42" s="83"/>
      <c r="Q42" s="83">
        <v>45000</v>
      </c>
      <c r="R42" s="83"/>
      <c r="S42" s="83"/>
      <c r="T42" s="83">
        <v>250000</v>
      </c>
      <c r="U42" s="83"/>
      <c r="V42" s="83"/>
      <c r="W42" s="83">
        <v>105000</v>
      </c>
      <c r="X42" s="83"/>
      <c r="Y42" s="83"/>
      <c r="Z42" s="42">
        <f t="shared" si="13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7"/>
        <v>1490000</v>
      </c>
      <c r="G43" s="17">
        <v>1490000</v>
      </c>
      <c r="H43" s="53"/>
      <c r="I43" s="53"/>
      <c r="J43" s="17"/>
      <c r="K43" s="48">
        <f t="shared" si="8"/>
        <v>0</v>
      </c>
      <c r="L43" s="73"/>
      <c r="M43" s="42">
        <f t="shared" si="12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7"/>
        <v>760000</v>
      </c>
      <c r="G44" s="17">
        <v>760000</v>
      </c>
      <c r="H44" s="53"/>
      <c r="I44" s="51"/>
      <c r="J44" s="17"/>
      <c r="K44" s="99" t="e">
        <f t="shared" si="8"/>
        <v>#DIV/0!</v>
      </c>
      <c r="L44" s="73"/>
      <c r="M44" s="42">
        <f t="shared" si="12"/>
        <v>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/>
      <c r="V44" s="83"/>
      <c r="W44" s="83">
        <v>290000</v>
      </c>
      <c r="X44" s="83">
        <f>470000</f>
        <v>470000</v>
      </c>
      <c r="Y44" s="83"/>
      <c r="Z44" s="42">
        <f t="shared" si="13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7"/>
        <v>360834</v>
      </c>
      <c r="G45" s="17">
        <v>360834</v>
      </c>
      <c r="H45" s="53">
        <v>300191</v>
      </c>
      <c r="I45" s="51"/>
      <c r="J45" s="17">
        <f t="shared" si="11"/>
        <v>83.1936569170311</v>
      </c>
      <c r="K45" s="48">
        <f t="shared" si="8"/>
        <v>83.1936569170311</v>
      </c>
      <c r="L45" s="73"/>
      <c r="M45" s="42">
        <f t="shared" si="12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7"/>
        <v>300000</v>
      </c>
      <c r="G46" s="17">
        <v>300000</v>
      </c>
      <c r="H46" s="53">
        <v>138200</v>
      </c>
      <c r="I46" s="51"/>
      <c r="J46" s="17">
        <f t="shared" si="11"/>
        <v>46.06666666666667</v>
      </c>
      <c r="K46" s="48">
        <f t="shared" si="8"/>
        <v>853.0864197530864</v>
      </c>
      <c r="L46" s="73"/>
      <c r="M46" s="42">
        <f t="shared" si="12"/>
        <v>-122000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</f>
        <v>-9800</v>
      </c>
      <c r="U46" s="83">
        <f>269800</f>
        <v>269800</v>
      </c>
      <c r="V46" s="83"/>
      <c r="W46" s="83"/>
      <c r="X46" s="83">
        <f>14000</f>
        <v>14000</v>
      </c>
      <c r="Y46" s="83"/>
      <c r="Z46" s="42">
        <f t="shared" si="13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7"/>
        <v>1490000</v>
      </c>
      <c r="G47" s="17">
        <v>1490000</v>
      </c>
      <c r="H47" s="53"/>
      <c r="I47" s="51"/>
      <c r="J47" s="84">
        <f t="shared" si="11"/>
        <v>0</v>
      </c>
      <c r="K47" s="48" t="e">
        <f t="shared" si="8"/>
        <v>#DIV/0!</v>
      </c>
      <c r="L47" s="73"/>
      <c r="M47" s="42">
        <f t="shared" si="12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</f>
        <v>115000</v>
      </c>
      <c r="V47" s="83"/>
      <c r="W47" s="83">
        <v>1000000</v>
      </c>
      <c r="X47" s="83"/>
      <c r="Y47" s="83">
        <v>375000</v>
      </c>
      <c r="Z47" s="42">
        <f t="shared" si="13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7"/>
        <v>760000</v>
      </c>
      <c r="G48" s="17">
        <v>760000</v>
      </c>
      <c r="H48" s="53"/>
      <c r="I48" s="51"/>
      <c r="J48" s="84">
        <f t="shared" si="11"/>
        <v>0</v>
      </c>
      <c r="K48" s="48">
        <f t="shared" si="8"/>
        <v>0</v>
      </c>
      <c r="L48" s="73"/>
      <c r="M48" s="42">
        <f t="shared" si="12"/>
        <v>66000</v>
      </c>
      <c r="N48" s="83"/>
      <c r="O48" s="83"/>
      <c r="P48" s="83"/>
      <c r="Q48" s="83">
        <v>66000</v>
      </c>
      <c r="R48" s="83"/>
      <c r="S48" s="83"/>
      <c r="T48" s="83">
        <f>400000-400000</f>
        <v>0</v>
      </c>
      <c r="U48" s="83"/>
      <c r="V48" s="83">
        <f>171069</f>
        <v>171069</v>
      </c>
      <c r="W48" s="83">
        <f>294000+113931</f>
        <v>407931</v>
      </c>
      <c r="X48" s="83">
        <f>115000</f>
        <v>115000</v>
      </c>
      <c r="Y48" s="83"/>
      <c r="Z48" s="42">
        <f t="shared" si="13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7"/>
        <v>3709</v>
      </c>
      <c r="G49" s="17">
        <v>3709</v>
      </c>
      <c r="H49" s="53">
        <v>3709</v>
      </c>
      <c r="I49" s="17"/>
      <c r="J49" s="17">
        <f t="shared" si="11"/>
        <v>100</v>
      </c>
      <c r="K49" s="48">
        <f t="shared" si="8"/>
        <v>100</v>
      </c>
      <c r="L49" s="73"/>
      <c r="M49" s="42">
        <f t="shared" si="12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7"/>
        <v>550000</v>
      </c>
      <c r="G50" s="17">
        <v>550000</v>
      </c>
      <c r="H50" s="53">
        <v>351000</v>
      </c>
      <c r="I50" s="51"/>
      <c r="J50" s="84">
        <f t="shared" si="11"/>
        <v>63.81818181818182</v>
      </c>
      <c r="K50" s="48">
        <f t="shared" si="8"/>
        <v>1755</v>
      </c>
      <c r="L50" s="73"/>
      <c r="M50" s="42">
        <f t="shared" si="12"/>
        <v>-331000</v>
      </c>
      <c r="N50" s="83"/>
      <c r="O50" s="83"/>
      <c r="P50" s="83"/>
      <c r="Q50" s="83">
        <v>45000</v>
      </c>
      <c r="R50" s="83"/>
      <c r="S50" s="83"/>
      <c r="T50" s="83">
        <f>350000-350000+275000-300000</f>
        <v>-25000</v>
      </c>
      <c r="U50" s="83">
        <f>300000</f>
        <v>300000</v>
      </c>
      <c r="V50" s="83">
        <f>350000-275000</f>
        <v>75000</v>
      </c>
      <c r="W50" s="83">
        <v>155000</v>
      </c>
      <c r="X50" s="83"/>
      <c r="Y50" s="83"/>
      <c r="Z50" s="42">
        <f t="shared" si="13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7"/>
        <v>1430000</v>
      </c>
      <c r="G51" s="17">
        <v>1430000</v>
      </c>
      <c r="H51" s="53">
        <v>1268704.47</v>
      </c>
      <c r="I51" s="17"/>
      <c r="J51" s="75">
        <f t="shared" si="11"/>
        <v>88.7205923076923</v>
      </c>
      <c r="K51" s="48">
        <f t="shared" si="8"/>
        <v>88.7205923076923</v>
      </c>
      <c r="L51" s="73"/>
      <c r="M51" s="42">
        <f t="shared" si="12"/>
        <v>161295.53000000003</v>
      </c>
      <c r="N51" s="83"/>
      <c r="O51" s="83"/>
      <c r="P51" s="83">
        <v>1000000</v>
      </c>
      <c r="Q51" s="83"/>
      <c r="R51" s="83"/>
      <c r="S51" s="83"/>
      <c r="T51" s="83">
        <v>430000</v>
      </c>
      <c r="U51" s="83"/>
      <c r="V51" s="83"/>
      <c r="W51" s="83"/>
      <c r="X51" s="83"/>
      <c r="Y51" s="83"/>
      <c r="Z51" s="42">
        <f t="shared" si="13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7"/>
        <v>244236.83</v>
      </c>
      <c r="G52" s="17">
        <f>240000+2416.83+1820</f>
        <v>244236.83</v>
      </c>
      <c r="H52" s="53"/>
      <c r="I52" s="51"/>
      <c r="J52" s="84">
        <f t="shared" si="11"/>
        <v>0</v>
      </c>
      <c r="K52" s="48">
        <f t="shared" si="8"/>
        <v>0</v>
      </c>
      <c r="L52" s="73"/>
      <c r="M52" s="42">
        <f t="shared" si="12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7"/>
        <v>1450000</v>
      </c>
      <c r="G53" s="17">
        <v>1450000</v>
      </c>
      <c r="H53" s="53">
        <v>877000</v>
      </c>
      <c r="I53" s="51"/>
      <c r="J53" s="17">
        <f t="shared" si="11"/>
        <v>60.48275862068966</v>
      </c>
      <c r="K53" s="48">
        <f t="shared" si="8"/>
        <v>95.84699453551913</v>
      </c>
      <c r="L53" s="73"/>
      <c r="M53" s="42">
        <f t="shared" si="12"/>
        <v>38000</v>
      </c>
      <c r="N53" s="83"/>
      <c r="O53" s="83"/>
      <c r="P53" s="83"/>
      <c r="Q53" s="83">
        <v>115000</v>
      </c>
      <c r="R53" s="83"/>
      <c r="S53" s="83"/>
      <c r="T53" s="83">
        <f>800000</f>
        <v>800000</v>
      </c>
      <c r="U53" s="83">
        <f>1000000-800000</f>
        <v>200000</v>
      </c>
      <c r="V53" s="83"/>
      <c r="W53" s="83">
        <v>335000</v>
      </c>
      <c r="X53" s="83"/>
      <c r="Y53" s="83"/>
      <c r="Z53" s="42">
        <f t="shared" si="13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7"/>
        <v>2500000</v>
      </c>
      <c r="G54" s="17">
        <v>2500000</v>
      </c>
      <c r="H54" s="53">
        <v>226060</v>
      </c>
      <c r="I54" s="53"/>
      <c r="J54" s="75">
        <f t="shared" si="11"/>
        <v>9.0424</v>
      </c>
      <c r="K54" s="48">
        <f t="shared" si="8"/>
        <v>94.98319327731093</v>
      </c>
      <c r="L54" s="73"/>
      <c r="M54" s="42">
        <f t="shared" si="12"/>
        <v>11940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</f>
        <v>1502000</v>
      </c>
      <c r="V54" s="83"/>
      <c r="W54" s="83">
        <v>760000</v>
      </c>
      <c r="X54" s="83"/>
      <c r="Y54" s="83"/>
      <c r="Z54" s="42">
        <f t="shared" si="13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7"/>
        <v>134745</v>
      </c>
      <c r="G55" s="17">
        <v>134745</v>
      </c>
      <c r="H55" s="53"/>
      <c r="I55" s="53"/>
      <c r="J55" s="94">
        <f t="shared" si="11"/>
        <v>0</v>
      </c>
      <c r="K55" s="99" t="e">
        <f t="shared" si="8"/>
        <v>#DIV/0!</v>
      </c>
      <c r="L55" s="73"/>
      <c r="M55" s="42">
        <f t="shared" si="12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1"/>
        <v>89.56556509962319</v>
      </c>
      <c r="K56" s="48">
        <f t="shared" si="8"/>
        <v>96.17</v>
      </c>
      <c r="L56" s="73"/>
      <c r="M56" s="42">
        <f t="shared" si="12"/>
        <v>22980</v>
      </c>
      <c r="N56" s="83"/>
      <c r="O56" s="83"/>
      <c r="P56" s="83"/>
      <c r="Q56" s="83"/>
      <c r="R56" s="83">
        <f>600000</f>
        <v>600000</v>
      </c>
      <c r="S56" s="83"/>
      <c r="T56" s="83"/>
      <c r="U56" s="83"/>
      <c r="V56" s="83"/>
      <c r="W56" s="83"/>
      <c r="X56" s="83"/>
      <c r="Y56" s="83">
        <f>644243.13-600000</f>
        <v>44243.130000000005</v>
      </c>
      <c r="Z56" s="42">
        <f t="shared" si="13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v>1647630.5899999999</v>
      </c>
      <c r="I57" s="53"/>
      <c r="J57" s="75">
        <f t="shared" si="11"/>
        <v>73.69819977373515</v>
      </c>
      <c r="K57" s="48">
        <f t="shared" si="8"/>
        <v>98.36600537313433</v>
      </c>
      <c r="L57" s="73"/>
      <c r="M57" s="42">
        <f t="shared" si="12"/>
        <v>27369.41000000015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</f>
        <v>0</v>
      </c>
      <c r="U57" s="83">
        <f>602312.64-41667</f>
        <v>560645.64</v>
      </c>
      <c r="V57" s="83"/>
      <c r="W57" s="83"/>
      <c r="X57" s="83"/>
      <c r="Y57" s="83"/>
      <c r="Z57" s="42">
        <f t="shared" si="13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v>665442.31</v>
      </c>
      <c r="I58" s="53"/>
      <c r="J58" s="75">
        <f t="shared" si="11"/>
        <v>42.53782435841455</v>
      </c>
      <c r="K58" s="48">
        <f t="shared" si="8"/>
        <v>99.46820777279522</v>
      </c>
      <c r="L58" s="73"/>
      <c r="M58" s="42">
        <f t="shared" si="12"/>
        <v>3557.689999999944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</f>
        <v>662020.36</v>
      </c>
      <c r="V58" s="83">
        <f>233334</f>
        <v>233334</v>
      </c>
      <c r="W58" s="83"/>
      <c r="X58" s="83"/>
      <c r="Y58" s="83"/>
      <c r="Z58" s="42">
        <f t="shared" si="13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v>45000</v>
      </c>
      <c r="I59" s="53"/>
      <c r="J59" s="75">
        <f t="shared" si="11"/>
        <v>11.538461538461538</v>
      </c>
      <c r="K59" s="48">
        <f t="shared" si="8"/>
        <v>19.565217391304348</v>
      </c>
      <c r="L59" s="73"/>
      <c r="M59" s="42">
        <f t="shared" si="12"/>
        <v>185000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/>
      <c r="V59" s="83"/>
      <c r="W59" s="83">
        <f>160000</f>
        <v>160000</v>
      </c>
      <c r="X59" s="83"/>
      <c r="Y59" s="83"/>
      <c r="Z59" s="42">
        <f t="shared" si="13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7"/>
        <v>1000000</v>
      </c>
      <c r="G60" s="17">
        <v>1000000</v>
      </c>
      <c r="H60" s="53">
        <v>88000</v>
      </c>
      <c r="I60" s="53"/>
      <c r="J60" s="97">
        <f t="shared" si="11"/>
        <v>8.799999999999999</v>
      </c>
      <c r="K60" s="48">
        <f t="shared" si="8"/>
        <v>11</v>
      </c>
      <c r="L60" s="73"/>
      <c r="M60" s="42">
        <f t="shared" si="12"/>
        <v>712000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/>
      <c r="V60" s="85"/>
      <c r="W60" s="85">
        <v>200000</v>
      </c>
      <c r="X60" s="85"/>
      <c r="Y60" s="85"/>
      <c r="Z60" s="42">
        <f t="shared" si="13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7"/>
        <v>768000</v>
      </c>
      <c r="G61" s="17">
        <f>800000-32000</f>
        <v>768000</v>
      </c>
      <c r="H61" s="53">
        <v>411000</v>
      </c>
      <c r="I61" s="53"/>
      <c r="J61" s="17">
        <f t="shared" si="11"/>
        <v>53.515625</v>
      </c>
      <c r="K61" s="48">
        <f t="shared" si="8"/>
        <v>100</v>
      </c>
      <c r="L61" s="73"/>
      <c r="M61" s="42">
        <f t="shared" si="12"/>
        <v>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3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7"/>
        <v>632000</v>
      </c>
      <c r="G62" s="17">
        <f>600000+32000</f>
        <v>632000</v>
      </c>
      <c r="H62" s="53">
        <v>342000</v>
      </c>
      <c r="I62" s="53"/>
      <c r="J62" s="17">
        <f t="shared" si="11"/>
        <v>54.11392405063291</v>
      </c>
      <c r="K62" s="48">
        <f t="shared" si="8"/>
        <v>92.39247892803112</v>
      </c>
      <c r="L62" s="73"/>
      <c r="M62" s="42">
        <f t="shared" si="12"/>
        <v>28160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v>805000</v>
      </c>
      <c r="I63" s="53"/>
      <c r="J63" s="17">
        <f t="shared" si="11"/>
        <v>62.792511700468026</v>
      </c>
      <c r="K63" s="48">
        <f t="shared" si="8"/>
        <v>143.75</v>
      </c>
      <c r="L63" s="73"/>
      <c r="M63" s="42">
        <f t="shared" si="12"/>
        <v>-245000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</f>
        <v>500000</v>
      </c>
      <c r="U63" s="98">
        <f>225695.87+81000-300000</f>
        <v>6695.869999999995</v>
      </c>
      <c r="V63" s="98">
        <v>175000</v>
      </c>
      <c r="W63" s="98">
        <f>600000+35304.13-200000</f>
        <v>435304.13</v>
      </c>
      <c r="X63" s="98"/>
      <c r="Y63" s="98">
        <f>280000-175000</f>
        <v>105000</v>
      </c>
      <c r="Z63" s="42">
        <f t="shared" si="13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1"/>
        <v>0</v>
      </c>
      <c r="K64" s="48">
        <f t="shared" si="8"/>
        <v>0</v>
      </c>
      <c r="L64" s="73"/>
      <c r="M64" s="42">
        <f t="shared" si="12"/>
        <v>495745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v>450000</v>
      </c>
      <c r="U64" s="85">
        <f>14255</f>
        <v>14255</v>
      </c>
      <c r="V64" s="85"/>
      <c r="W64" s="85">
        <v>190000</v>
      </c>
      <c r="X64" s="85"/>
      <c r="Y64" s="85"/>
      <c r="Z64" s="42">
        <f t="shared" si="13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v>29909.170000000002</v>
      </c>
      <c r="I65" s="53"/>
      <c r="J65" s="17">
        <f t="shared" si="11"/>
        <v>99.88701866880407</v>
      </c>
      <c r="K65" s="48">
        <f t="shared" si="8"/>
        <v>99.88701866880407</v>
      </c>
      <c r="L65" s="73"/>
      <c r="M65" s="42">
        <f t="shared" si="12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7"/>
        <v>2800000</v>
      </c>
      <c r="G66" s="17">
        <f>3000000-200000</f>
        <v>2800000</v>
      </c>
      <c r="H66" s="53">
        <v>2458314.44</v>
      </c>
      <c r="I66" s="53"/>
      <c r="J66" s="97">
        <f t="shared" si="11"/>
        <v>87.79694428571429</v>
      </c>
      <c r="K66" s="48">
        <f t="shared" si="8"/>
        <v>99.79942961650336</v>
      </c>
      <c r="L66" s="73"/>
      <c r="M66" s="42">
        <f t="shared" si="12"/>
        <v>4940.560000000056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7"/>
        <v>1400000</v>
      </c>
      <c r="G67" s="17">
        <v>1400000</v>
      </c>
      <c r="H67" s="53">
        <v>112060</v>
      </c>
      <c r="I67" s="53"/>
      <c r="J67" s="17">
        <f t="shared" si="11"/>
        <v>8.004285714285714</v>
      </c>
      <c r="K67" s="48">
        <f t="shared" si="8"/>
        <v>94.16806722689076</v>
      </c>
      <c r="L67" s="73"/>
      <c r="M67" s="42">
        <f t="shared" si="12"/>
        <v>6940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</f>
        <v>981000</v>
      </c>
      <c r="V67" s="85"/>
      <c r="W67" s="85">
        <v>300000</v>
      </c>
      <c r="X67" s="85"/>
      <c r="Y67" s="85"/>
      <c r="Z67" s="42">
        <f t="shared" si="13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7"/>
        <v>1400000</v>
      </c>
      <c r="G68" s="17">
        <v>1400000</v>
      </c>
      <c r="H68" s="53">
        <v>43000</v>
      </c>
      <c r="I68" s="53"/>
      <c r="J68" s="96">
        <f t="shared" si="11"/>
        <v>3.0714285714285716</v>
      </c>
      <c r="K68" s="48">
        <f t="shared" si="8"/>
        <v>3.3352595103373655</v>
      </c>
      <c r="L68" s="73"/>
      <c r="M68" s="42">
        <f t="shared" si="12"/>
        <v>1246255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1"/>
        <v>#DIV/0!</v>
      </c>
      <c r="K69" s="48" t="e">
        <f t="shared" si="8"/>
        <v>#DIV/0!</v>
      </c>
      <c r="L69" s="73"/>
      <c r="M69" s="42">
        <f aca="true" t="shared" si="14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5" ref="D70:D81">E70+F70</f>
        <v>0</v>
      </c>
      <c r="E70" s="21"/>
      <c r="F70" s="53">
        <f aca="true" t="shared" si="16" ref="F70:F81">G70</f>
        <v>0</v>
      </c>
      <c r="G70" s="53"/>
      <c r="H70" s="53"/>
      <c r="I70" s="53"/>
      <c r="J70" s="17" t="e">
        <f t="shared" si="11"/>
        <v>#DIV/0!</v>
      </c>
      <c r="K70" s="48" t="e">
        <f t="shared" si="8"/>
        <v>#DIV/0!</v>
      </c>
      <c r="L70" s="73"/>
      <c r="M70" s="42">
        <f t="shared" si="14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5"/>
        <v>0</v>
      </c>
      <c r="E71" s="21"/>
      <c r="F71" s="53">
        <f t="shared" si="16"/>
        <v>0</v>
      </c>
      <c r="G71" s="54"/>
      <c r="H71" s="53"/>
      <c r="I71" s="53"/>
      <c r="J71" s="17" t="e">
        <f t="shared" si="11"/>
        <v>#DIV/0!</v>
      </c>
      <c r="K71" s="48" t="e">
        <f t="shared" si="8"/>
        <v>#DIV/0!</v>
      </c>
      <c r="L71" s="73"/>
      <c r="M71" s="42">
        <f t="shared" si="14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5"/>
        <v>0</v>
      </c>
      <c r="E72" s="21"/>
      <c r="F72" s="53">
        <f t="shared" si="16"/>
        <v>0</v>
      </c>
      <c r="G72" s="53"/>
      <c r="H72" s="53"/>
      <c r="I72" s="53"/>
      <c r="J72" s="17" t="e">
        <f t="shared" si="11"/>
        <v>#DIV/0!</v>
      </c>
      <c r="K72" s="48" t="e">
        <f t="shared" si="8"/>
        <v>#DIV/0!</v>
      </c>
      <c r="L72" s="73"/>
      <c r="M72" s="42">
        <f t="shared" si="14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5"/>
        <v>0</v>
      </c>
      <c r="E73" s="21"/>
      <c r="F73" s="53">
        <f t="shared" si="16"/>
        <v>0</v>
      </c>
      <c r="G73" s="54"/>
      <c r="H73" s="53"/>
      <c r="I73" s="53"/>
      <c r="J73" s="17" t="e">
        <f t="shared" si="11"/>
        <v>#DIV/0!</v>
      </c>
      <c r="K73" s="48" t="e">
        <f t="shared" si="8"/>
        <v>#DIV/0!</v>
      </c>
      <c r="L73" s="73"/>
      <c r="M73" s="42">
        <f t="shared" si="14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5"/>
        <v>0</v>
      </c>
      <c r="E74" s="21"/>
      <c r="F74" s="53">
        <f t="shared" si="16"/>
        <v>0</v>
      </c>
      <c r="G74" s="53"/>
      <c r="H74" s="53"/>
      <c r="I74" s="53"/>
      <c r="J74" s="17" t="e">
        <f t="shared" si="11"/>
        <v>#DIV/0!</v>
      </c>
      <c r="K74" s="48" t="e">
        <f t="shared" si="8"/>
        <v>#DIV/0!</v>
      </c>
      <c r="L74" s="73"/>
      <c r="M74" s="42">
        <f t="shared" si="14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5"/>
        <v>0</v>
      </c>
      <c r="E75" s="21"/>
      <c r="F75" s="53">
        <f t="shared" si="16"/>
        <v>0</v>
      </c>
      <c r="G75" s="53"/>
      <c r="H75" s="53"/>
      <c r="I75" s="53"/>
      <c r="J75" s="17" t="e">
        <f t="shared" si="11"/>
        <v>#DIV/0!</v>
      </c>
      <c r="K75" s="48" t="e">
        <f t="shared" si="8"/>
        <v>#DIV/0!</v>
      </c>
      <c r="L75" s="73"/>
      <c r="M75" s="42">
        <f t="shared" si="14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5"/>
        <v>0</v>
      </c>
      <c r="E76" s="21"/>
      <c r="F76" s="53">
        <f t="shared" si="16"/>
        <v>0</v>
      </c>
      <c r="G76" s="53"/>
      <c r="H76" s="53"/>
      <c r="I76" s="53"/>
      <c r="J76" s="17" t="e">
        <f t="shared" si="11"/>
        <v>#DIV/0!</v>
      </c>
      <c r="K76" s="48" t="e">
        <f t="shared" si="8"/>
        <v>#DIV/0!</v>
      </c>
      <c r="L76" s="73"/>
      <c r="M76" s="42">
        <f t="shared" si="14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5"/>
        <v>0</v>
      </c>
      <c r="E77" s="21"/>
      <c r="F77" s="53">
        <f t="shared" si="16"/>
        <v>0</v>
      </c>
      <c r="G77" s="53"/>
      <c r="H77" s="53"/>
      <c r="I77" s="53"/>
      <c r="J77" s="17" t="e">
        <f t="shared" si="11"/>
        <v>#DIV/0!</v>
      </c>
      <c r="K77" s="48" t="e">
        <f t="shared" si="8"/>
        <v>#DIV/0!</v>
      </c>
      <c r="L77" s="73"/>
      <c r="M77" s="42">
        <f t="shared" si="14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5"/>
        <v>0</v>
      </c>
      <c r="E78" s="21"/>
      <c r="F78" s="53">
        <f t="shared" si="16"/>
        <v>0</v>
      </c>
      <c r="G78" s="53"/>
      <c r="H78" s="53"/>
      <c r="I78" s="53"/>
      <c r="J78" s="17" t="e">
        <f t="shared" si="11"/>
        <v>#DIV/0!</v>
      </c>
      <c r="K78" s="48" t="e">
        <f t="shared" si="8"/>
        <v>#DIV/0!</v>
      </c>
      <c r="L78" s="73"/>
      <c r="M78" s="42">
        <f t="shared" si="14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6"/>
        <v>0</v>
      </c>
      <c r="G79" s="53"/>
      <c r="H79" s="53"/>
      <c r="I79" s="53"/>
      <c r="J79" s="17" t="e">
        <f t="shared" si="11"/>
        <v>#DIV/0!</v>
      </c>
      <c r="K79" s="48" t="e">
        <f t="shared" si="8"/>
        <v>#DIV/0!</v>
      </c>
      <c r="L79" s="73"/>
      <c r="M79" s="42">
        <f t="shared" si="14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5"/>
        <v>0</v>
      </c>
      <c r="E80" s="21"/>
      <c r="F80" s="53">
        <f t="shared" si="16"/>
        <v>0</v>
      </c>
      <c r="G80" s="53"/>
      <c r="H80" s="53"/>
      <c r="I80" s="53"/>
      <c r="J80" s="17" t="e">
        <f t="shared" si="11"/>
        <v>#DIV/0!</v>
      </c>
      <c r="K80" s="48" t="e">
        <f t="shared" si="8"/>
        <v>#DIV/0!</v>
      </c>
      <c r="L80" s="73"/>
      <c r="M80" s="42">
        <f t="shared" si="14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5"/>
        <v>0</v>
      </c>
      <c r="E81" s="21"/>
      <c r="F81" s="53">
        <f t="shared" si="16"/>
        <v>0</v>
      </c>
      <c r="G81" s="53"/>
      <c r="H81" s="53"/>
      <c r="I81" s="53"/>
      <c r="J81" s="17" t="e">
        <f t="shared" si="11"/>
        <v>#DIV/0!</v>
      </c>
      <c r="K81" s="48" t="e">
        <f t="shared" si="8"/>
        <v>#DIV/0!</v>
      </c>
      <c r="L81" s="73"/>
      <c r="M81" s="42">
        <f t="shared" si="14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9"/>
        <v>0</v>
      </c>
    </row>
    <row r="82" spans="1:27" ht="18">
      <c r="A82" s="102" t="s">
        <v>36</v>
      </c>
      <c r="B82" s="103"/>
      <c r="C82" s="103"/>
      <c r="D82" s="103"/>
      <c r="E82" s="103"/>
      <c r="F82" s="103"/>
      <c r="G82" s="104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32110720.479999997</v>
      </c>
      <c r="I83" s="8"/>
      <c r="J83" s="8">
        <f aca="true" t="shared" si="17" ref="J83:J111">H83/D83*100</f>
        <v>14.693568401968207</v>
      </c>
      <c r="K83" s="101">
        <f t="shared" si="8"/>
        <v>49.8493191121959</v>
      </c>
      <c r="L83" s="73"/>
      <c r="M83" s="95">
        <f>(N83+O83+P83+Q83+R83+S83+T83)-H83</f>
        <v>32304844.370000005</v>
      </c>
      <c r="N83" s="59">
        <f aca="true" t="shared" si="18" ref="N83:Y83">SUM(N84:N111)</f>
        <v>0</v>
      </c>
      <c r="O83" s="47">
        <f t="shared" si="18"/>
        <v>150000</v>
      </c>
      <c r="P83" s="47">
        <f t="shared" si="18"/>
        <v>19400000</v>
      </c>
      <c r="Q83" s="47">
        <f t="shared" si="18"/>
        <v>2949500</v>
      </c>
      <c r="R83" s="47">
        <f t="shared" si="18"/>
        <v>10966864</v>
      </c>
      <c r="S83" s="47">
        <f t="shared" si="18"/>
        <v>4813000.85</v>
      </c>
      <c r="T83" s="47">
        <f t="shared" si="18"/>
        <v>26136200</v>
      </c>
      <c r="U83" s="47">
        <f t="shared" si="18"/>
        <v>34368600</v>
      </c>
      <c r="V83" s="47">
        <f t="shared" si="18"/>
        <v>22151600</v>
      </c>
      <c r="W83" s="47">
        <f t="shared" si="18"/>
        <v>29307000.42</v>
      </c>
      <c r="X83" s="47">
        <f t="shared" si="18"/>
        <v>45502500</v>
      </c>
      <c r="Y83" s="47">
        <f t="shared" si="18"/>
        <v>22790624.73</v>
      </c>
      <c r="Z83" s="42">
        <f t="shared" si="13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7"/>
        <v>1.4594</v>
      </c>
      <c r="K84" s="48">
        <f t="shared" si="8"/>
        <v>29.188</v>
      </c>
      <c r="L84" s="73"/>
      <c r="M84" s="42">
        <f>(N84+O84+P84+Q84+R84+S84+T84)-H84</f>
        <v>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7"/>
        <v>0.7568</v>
      </c>
      <c r="K85" s="48">
        <f t="shared" si="8"/>
        <v>1.5136</v>
      </c>
      <c r="L85" s="73"/>
      <c r="M85" s="42">
        <f aca="true" t="shared" si="19" ref="M85:M111">(N85+O85+P85+Q85+R85+S85+T85)-H85</f>
        <v>984864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7"/>
        <v>0.88065</v>
      </c>
      <c r="K86" s="48">
        <f t="shared" si="8"/>
        <v>1.7613</v>
      </c>
      <c r="L86" s="73"/>
      <c r="M86" s="42">
        <f t="shared" si="19"/>
        <v>982387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7"/>
        <v>4.394991652754591</v>
      </c>
      <c r="K87" s="48">
        <f t="shared" si="8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0" ref="D88:D111">F88</f>
        <v>1703200</v>
      </c>
      <c r="E88" s="17"/>
      <c r="F88" s="17">
        <f aca="true" t="shared" si="21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7"/>
        <v>33.4792472992015</v>
      </c>
      <c r="K88" s="48">
        <f t="shared" si="8"/>
        <v>63.357615555555554</v>
      </c>
      <c r="L88" s="73"/>
      <c r="M88" s="42">
        <f t="shared" si="19"/>
        <v>329781.45999999996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7"/>
        <v>6.25</v>
      </c>
      <c r="K89" s="48">
        <f t="shared" si="8"/>
        <v>100</v>
      </c>
      <c r="L89" s="73"/>
      <c r="M89" s="42">
        <f t="shared" si="19"/>
        <v>0</v>
      </c>
      <c r="N89" s="87"/>
      <c r="O89" s="87"/>
      <c r="P89" s="87"/>
      <c r="Q89" s="87"/>
      <c r="R89" s="87">
        <f>250000</f>
        <v>250000</v>
      </c>
      <c r="S89" s="87"/>
      <c r="T89" s="87"/>
      <c r="U89" s="87"/>
      <c r="V89" s="87"/>
      <c r="W89" s="87">
        <f>1000000-250000</f>
        <v>750000</v>
      </c>
      <c r="X89" s="87">
        <f>1000000</f>
        <v>1000000</v>
      </c>
      <c r="Y89" s="87">
        <f>2000000</f>
        <v>2000000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0"/>
        <v>1000000</v>
      </c>
      <c r="E90" s="17"/>
      <c r="F90" s="17">
        <f t="shared" si="21"/>
        <v>1000000</v>
      </c>
      <c r="G90" s="17">
        <v>1000000</v>
      </c>
      <c r="H90" s="54">
        <f>21199</f>
        <v>21199</v>
      </c>
      <c r="I90" s="54"/>
      <c r="J90" s="96">
        <f t="shared" si="17"/>
        <v>2.1199</v>
      </c>
      <c r="K90" s="48">
        <f t="shared" si="8"/>
        <v>21.199</v>
      </c>
      <c r="L90" s="73"/>
      <c r="M90" s="42">
        <f t="shared" si="19"/>
        <v>78801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0"/>
        <v>20000000</v>
      </c>
      <c r="E91" s="17"/>
      <c r="F91" s="17">
        <f t="shared" si="21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7"/>
        <v>57.573718750000005</v>
      </c>
      <c r="K91" s="48">
        <f t="shared" si="8"/>
        <v>92.00643819690535</v>
      </c>
      <c r="L91" s="73"/>
      <c r="M91" s="42">
        <f t="shared" si="19"/>
        <v>1000406.25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0"/>
        <v>30000000</v>
      </c>
      <c r="E92" s="17"/>
      <c r="F92" s="17">
        <f t="shared" si="21"/>
        <v>30000000</v>
      </c>
      <c r="G92" s="17">
        <v>30000000</v>
      </c>
      <c r="H92" s="54">
        <f>847001.35</f>
        <v>847001.35</v>
      </c>
      <c r="I92" s="54"/>
      <c r="J92" s="75">
        <f t="shared" si="17"/>
        <v>2.8233378333333334</v>
      </c>
      <c r="K92" s="48">
        <f t="shared" si="8"/>
        <v>8.06621859703255</v>
      </c>
      <c r="L92" s="73"/>
      <c r="M92" s="42">
        <f t="shared" si="19"/>
        <v>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</f>
        <v>0</v>
      </c>
      <c r="V92" s="87"/>
      <c r="W92" s="87">
        <v>9377191.27</v>
      </c>
      <c r="X92" s="87">
        <v>6433600</v>
      </c>
      <c r="Y92" s="87">
        <v>3688608.73</v>
      </c>
      <c r="Z92" s="42">
        <f t="shared" si="13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0"/>
        <v>9000</v>
      </c>
      <c r="E93" s="17"/>
      <c r="F93" s="17">
        <f t="shared" si="21"/>
        <v>9000</v>
      </c>
      <c r="G93" s="17">
        <v>9000</v>
      </c>
      <c r="H93" s="54">
        <f>8836.6</f>
        <v>8836.6</v>
      </c>
      <c r="I93" s="54"/>
      <c r="J93" s="75">
        <f t="shared" si="17"/>
        <v>98.18444444444445</v>
      </c>
      <c r="K93" s="48">
        <f aca="true" t="shared" si="22" ref="K93:K112">(H93/(N93+O93+P93+Q93+R93+S93+T93))*100</f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0"/>
        <v>1500000</v>
      </c>
      <c r="E94" s="17"/>
      <c r="F94" s="17">
        <f t="shared" si="21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7"/>
        <v>2.098066666666667</v>
      </c>
      <c r="K94" s="48">
        <f t="shared" si="22"/>
        <v>4.087142857142857</v>
      </c>
      <c r="L94" s="73"/>
      <c r="M94" s="42">
        <f t="shared" si="19"/>
        <v>738529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9"/>
        <v>0</v>
      </c>
    </row>
    <row r="95" spans="1:27" ht="18">
      <c r="A95" s="56"/>
      <c r="B95" s="18"/>
      <c r="C95" s="81" t="s">
        <v>113</v>
      </c>
      <c r="D95" s="75">
        <f t="shared" si="20"/>
        <v>33469000</v>
      </c>
      <c r="E95" s="17"/>
      <c r="F95" s="17">
        <f t="shared" si="21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7"/>
        <v>1.406429681197526</v>
      </c>
      <c r="K95" s="48">
        <f t="shared" si="22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100">
        <f>3000000-1000000-531000</f>
        <v>1469000</v>
      </c>
      <c r="U95" s="100"/>
      <c r="V95" s="100">
        <v>1000000</v>
      </c>
      <c r="W95" s="100"/>
      <c r="X95" s="100">
        <v>20000000</v>
      </c>
      <c r="Y95" s="100">
        <f>15478996-5000000</f>
        <v>10478996</v>
      </c>
      <c r="Z95" s="42">
        <f t="shared" si="13"/>
        <v>33469000</v>
      </c>
      <c r="AA95" s="45">
        <f aca="true" t="shared" si="23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0"/>
        <v>700000</v>
      </c>
      <c r="E96" s="75"/>
      <c r="F96" s="75">
        <f t="shared" si="21"/>
        <v>700000</v>
      </c>
      <c r="G96" s="75">
        <v>700000</v>
      </c>
      <c r="H96" s="91">
        <f>13651</f>
        <v>13651</v>
      </c>
      <c r="I96" s="91"/>
      <c r="J96" s="97">
        <f t="shared" si="17"/>
        <v>1.9501428571428572</v>
      </c>
      <c r="K96" s="48">
        <f t="shared" si="22"/>
        <v>13.651</v>
      </c>
      <c r="L96" s="92"/>
      <c r="M96" s="42">
        <f t="shared" si="19"/>
        <v>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4" ref="Z96:Z112">SUM(N96:Y96)</f>
        <v>700000</v>
      </c>
      <c r="AA96" s="45">
        <f t="shared" si="23"/>
        <v>0</v>
      </c>
    </row>
    <row r="97" spans="1:27" ht="18">
      <c r="A97" s="56"/>
      <c r="B97" s="18"/>
      <c r="C97" s="81" t="s">
        <v>82</v>
      </c>
      <c r="D97" s="75">
        <f t="shared" si="20"/>
        <v>600000</v>
      </c>
      <c r="E97" s="17"/>
      <c r="F97" s="17">
        <f t="shared" si="21"/>
        <v>600000</v>
      </c>
      <c r="G97" s="17">
        <v>600000</v>
      </c>
      <c r="H97" s="54">
        <f>12968</f>
        <v>12968</v>
      </c>
      <c r="I97" s="54"/>
      <c r="J97" s="17">
        <f t="shared" si="17"/>
        <v>2.1613333333333333</v>
      </c>
      <c r="K97" s="48">
        <f t="shared" si="22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4"/>
        <v>600000</v>
      </c>
      <c r="AA97" s="45">
        <f t="shared" si="23"/>
        <v>0</v>
      </c>
    </row>
    <row r="98" spans="1:27" ht="24" customHeight="1">
      <c r="A98" s="56"/>
      <c r="B98" s="18"/>
      <c r="C98" s="81" t="s">
        <v>83</v>
      </c>
      <c r="D98" s="75">
        <f t="shared" si="20"/>
        <v>500000</v>
      </c>
      <c r="E98" s="17"/>
      <c r="F98" s="17">
        <f t="shared" si="21"/>
        <v>500000</v>
      </c>
      <c r="G98" s="17">
        <v>500000</v>
      </c>
      <c r="H98" s="54"/>
      <c r="I98" s="54"/>
      <c r="J98" s="84">
        <f t="shared" si="17"/>
        <v>0</v>
      </c>
      <c r="K98" s="99" t="e">
        <f t="shared" si="22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4"/>
        <v>500000</v>
      </c>
      <c r="AA98" s="45">
        <f t="shared" si="23"/>
        <v>0</v>
      </c>
    </row>
    <row r="99" spans="1:27" ht="24" customHeight="1">
      <c r="A99" s="56"/>
      <c r="B99" s="18"/>
      <c r="C99" s="81" t="s">
        <v>84</v>
      </c>
      <c r="D99" s="75">
        <f t="shared" si="20"/>
        <v>1241860</v>
      </c>
      <c r="E99" s="17"/>
      <c r="F99" s="17">
        <f t="shared" si="21"/>
        <v>1241860</v>
      </c>
      <c r="G99" s="17">
        <v>1241860</v>
      </c>
      <c r="H99" s="54"/>
      <c r="I99" s="54"/>
      <c r="J99" s="84">
        <f t="shared" si="17"/>
        <v>0</v>
      </c>
      <c r="K99" s="48">
        <f t="shared" si="22"/>
        <v>0</v>
      </c>
      <c r="L99" s="73"/>
      <c r="M99" s="42">
        <f t="shared" si="19"/>
        <v>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4"/>
        <v>1241860</v>
      </c>
      <c r="AA99" s="45">
        <f t="shared" si="23"/>
        <v>0</v>
      </c>
    </row>
    <row r="100" spans="1:27" ht="24" customHeight="1">
      <c r="A100" s="56"/>
      <c r="B100" s="18"/>
      <c r="C100" s="81" t="s">
        <v>85</v>
      </c>
      <c r="D100" s="75">
        <f t="shared" si="20"/>
        <v>2019770</v>
      </c>
      <c r="E100" s="17"/>
      <c r="F100" s="17">
        <f t="shared" si="21"/>
        <v>2019770</v>
      </c>
      <c r="G100" s="17">
        <f>3753010-703240-30000-1000000</f>
        <v>2019770</v>
      </c>
      <c r="H100" s="54"/>
      <c r="I100" s="54"/>
      <c r="J100" s="84">
        <f t="shared" si="17"/>
        <v>0</v>
      </c>
      <c r="K100" s="48">
        <f t="shared" si="22"/>
        <v>0</v>
      </c>
      <c r="L100" s="73"/>
      <c r="M100" s="42">
        <f t="shared" si="19"/>
        <v>666760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4"/>
        <v>2019770</v>
      </c>
      <c r="AA100" s="45">
        <f t="shared" si="23"/>
        <v>0</v>
      </c>
    </row>
    <row r="101" spans="1:27" ht="18">
      <c r="A101" s="56"/>
      <c r="B101" s="18"/>
      <c r="C101" s="81" t="s">
        <v>86</v>
      </c>
      <c r="D101" s="17">
        <f t="shared" si="20"/>
        <v>21323020</v>
      </c>
      <c r="E101" s="17"/>
      <c r="F101" s="17">
        <f t="shared" si="21"/>
        <v>21323020</v>
      </c>
      <c r="G101" s="17">
        <v>21323020</v>
      </c>
      <c r="H101" s="54">
        <f>2217023.25</f>
        <v>2217023.25</v>
      </c>
      <c r="I101" s="54"/>
      <c r="J101" s="96">
        <f t="shared" si="17"/>
        <v>10.397322940183894</v>
      </c>
      <c r="K101" s="48">
        <f t="shared" si="22"/>
        <v>39.589700892857145</v>
      </c>
      <c r="L101" s="73"/>
      <c r="M101" s="42">
        <f t="shared" si="19"/>
        <v>3382976.75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</f>
        <v>3965590</v>
      </c>
      <c r="V101" s="87">
        <v>1500000</v>
      </c>
      <c r="W101" s="87">
        <v>1934410</v>
      </c>
      <c r="X101" s="87">
        <v>6200000</v>
      </c>
      <c r="Y101" s="87">
        <v>2123020</v>
      </c>
      <c r="Z101" s="42">
        <f t="shared" si="24"/>
        <v>21323020</v>
      </c>
      <c r="AA101" s="45">
        <f t="shared" si="23"/>
        <v>0</v>
      </c>
    </row>
    <row r="102" spans="1:27" ht="18">
      <c r="A102" s="56"/>
      <c r="B102" s="18"/>
      <c r="C102" s="81" t="s">
        <v>87</v>
      </c>
      <c r="D102" s="17">
        <f t="shared" si="20"/>
        <v>10000000</v>
      </c>
      <c r="E102" s="17"/>
      <c r="F102" s="17">
        <f t="shared" si="21"/>
        <v>10000000</v>
      </c>
      <c r="G102" s="17">
        <v>10000000</v>
      </c>
      <c r="H102" s="54">
        <f>265304</f>
        <v>265304</v>
      </c>
      <c r="I102" s="54"/>
      <c r="J102" s="97">
        <f t="shared" si="17"/>
        <v>2.65304</v>
      </c>
      <c r="K102" s="48">
        <f t="shared" si="22"/>
        <v>73.69555555555556</v>
      </c>
      <c r="L102" s="73"/>
      <c r="M102" s="42">
        <f t="shared" si="19"/>
        <v>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4"/>
        <v>10000000</v>
      </c>
      <c r="AA102" s="45">
        <f t="shared" si="23"/>
        <v>0</v>
      </c>
    </row>
    <row r="103" spans="1:27" ht="18">
      <c r="A103" s="56"/>
      <c r="B103" s="18"/>
      <c r="C103" s="81" t="s">
        <v>88</v>
      </c>
      <c r="D103" s="17">
        <f t="shared" si="20"/>
        <v>950000</v>
      </c>
      <c r="E103" s="17"/>
      <c r="F103" s="17">
        <f t="shared" si="21"/>
        <v>950000</v>
      </c>
      <c r="G103" s="17">
        <v>950000</v>
      </c>
      <c r="H103" s="54">
        <f>58555</f>
        <v>58555</v>
      </c>
      <c r="I103" s="54"/>
      <c r="J103" s="17">
        <f t="shared" si="17"/>
        <v>6.163684210526315</v>
      </c>
      <c r="K103" s="48">
        <f t="shared" si="22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4"/>
        <v>950000</v>
      </c>
      <c r="AA103" s="45">
        <f t="shared" si="23"/>
        <v>0</v>
      </c>
    </row>
    <row r="104" spans="1:27" ht="18">
      <c r="A104" s="56"/>
      <c r="B104" s="18"/>
      <c r="C104" s="81" t="s">
        <v>89</v>
      </c>
      <c r="D104" s="17">
        <f t="shared" si="20"/>
        <v>35400000</v>
      </c>
      <c r="E104" s="17"/>
      <c r="F104" s="17">
        <f t="shared" si="21"/>
        <v>35400000</v>
      </c>
      <c r="G104" s="17">
        <f>37000000-400000-1200000</f>
        <v>35400000</v>
      </c>
      <c r="H104" s="54"/>
      <c r="I104" s="54"/>
      <c r="J104" s="84">
        <f t="shared" si="17"/>
        <v>0</v>
      </c>
      <c r="K104" s="48">
        <f t="shared" si="22"/>
        <v>0</v>
      </c>
      <c r="L104" s="73"/>
      <c r="M104" s="42">
        <f t="shared" si="19"/>
        <v>7838000.85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</f>
        <v>7100000</v>
      </c>
      <c r="V104" s="87">
        <f>11000000-1200000</f>
        <v>9800000</v>
      </c>
      <c r="W104" s="87">
        <v>7996999.15</v>
      </c>
      <c r="X104" s="87">
        <f>3005000+60000-400000</f>
        <v>2665000</v>
      </c>
      <c r="Y104" s="87"/>
      <c r="Z104" s="42">
        <f t="shared" si="24"/>
        <v>35400000</v>
      </c>
      <c r="AA104" s="45">
        <f t="shared" si="23"/>
        <v>0</v>
      </c>
    </row>
    <row r="105" spans="1:27" ht="18">
      <c r="A105" s="56"/>
      <c r="B105" s="18"/>
      <c r="C105" s="81" t="s">
        <v>90</v>
      </c>
      <c r="D105" s="17">
        <f t="shared" si="20"/>
        <v>18000000</v>
      </c>
      <c r="E105" s="17"/>
      <c r="F105" s="17">
        <f t="shared" si="21"/>
        <v>18000000</v>
      </c>
      <c r="G105" s="17">
        <v>18000000</v>
      </c>
      <c r="H105" s="54">
        <f>983986</f>
        <v>983986</v>
      </c>
      <c r="I105" s="54"/>
      <c r="J105" s="17">
        <f t="shared" si="17"/>
        <v>5.4665888888888885</v>
      </c>
      <c r="K105" s="48">
        <f t="shared" si="22"/>
        <v>32.799533333333336</v>
      </c>
      <c r="L105" s="73"/>
      <c r="M105" s="42">
        <f t="shared" si="19"/>
        <v>2016014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4"/>
        <v>18000000</v>
      </c>
      <c r="AA105" s="45">
        <f t="shared" si="23"/>
        <v>0</v>
      </c>
    </row>
    <row r="106" spans="1:27" ht="18">
      <c r="A106" s="56"/>
      <c r="B106" s="18"/>
      <c r="C106" s="81" t="s">
        <v>91</v>
      </c>
      <c r="D106" s="17">
        <f t="shared" si="20"/>
        <v>2000000</v>
      </c>
      <c r="E106" s="17"/>
      <c r="F106" s="17">
        <f t="shared" si="21"/>
        <v>2000000</v>
      </c>
      <c r="G106" s="17">
        <v>2000000</v>
      </c>
      <c r="H106" s="54"/>
      <c r="I106" s="54"/>
      <c r="J106" s="84">
        <f t="shared" si="17"/>
        <v>0</v>
      </c>
      <c r="K106" s="48">
        <f t="shared" si="22"/>
        <v>0</v>
      </c>
      <c r="L106" s="73"/>
      <c r="M106" s="42">
        <f t="shared" si="19"/>
        <v>614850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4"/>
        <v>2000000</v>
      </c>
      <c r="AA106" s="45">
        <f t="shared" si="23"/>
        <v>0</v>
      </c>
    </row>
    <row r="107" spans="1:27" ht="21.75" customHeight="1">
      <c r="A107" s="56"/>
      <c r="B107" s="18"/>
      <c r="C107" s="81" t="s">
        <v>95</v>
      </c>
      <c r="D107" s="17">
        <f t="shared" si="20"/>
        <v>499840</v>
      </c>
      <c r="E107" s="17"/>
      <c r="F107" s="17">
        <f t="shared" si="21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7"/>
        <v>76.05321702944943</v>
      </c>
      <c r="K107" s="48">
        <f t="shared" si="22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4"/>
        <v>499840</v>
      </c>
      <c r="AA107" s="45">
        <f t="shared" si="23"/>
        <v>0</v>
      </c>
    </row>
    <row r="108" spans="1:27" ht="36">
      <c r="A108" s="56"/>
      <c r="B108" s="18"/>
      <c r="C108" s="81" t="s">
        <v>92</v>
      </c>
      <c r="D108" s="17">
        <f t="shared" si="20"/>
        <v>1002780</v>
      </c>
      <c r="E108" s="17"/>
      <c r="F108" s="17">
        <f t="shared" si="21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7"/>
        <v>42.92106643530984</v>
      </c>
      <c r="K108" s="48">
        <f t="shared" si="22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4"/>
        <v>1002780</v>
      </c>
      <c r="AA108" s="45">
        <f t="shared" si="23"/>
        <v>0</v>
      </c>
    </row>
    <row r="109" spans="1:27" ht="36">
      <c r="A109" s="56"/>
      <c r="B109" s="18"/>
      <c r="C109" s="81" t="s">
        <v>102</v>
      </c>
      <c r="D109" s="17">
        <f t="shared" si="20"/>
        <v>4000000</v>
      </c>
      <c r="E109" s="17"/>
      <c r="F109" s="17">
        <f t="shared" si="21"/>
        <v>4000000</v>
      </c>
      <c r="G109" s="17">
        <v>4000000</v>
      </c>
      <c r="H109" s="54"/>
      <c r="I109" s="54"/>
      <c r="J109" s="84"/>
      <c r="K109" s="48">
        <f t="shared" si="22"/>
        <v>0</v>
      </c>
      <c r="L109" s="73"/>
      <c r="M109" s="42">
        <f t="shared" si="19"/>
        <v>700000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4"/>
        <v>4000000</v>
      </c>
      <c r="AA109" s="45">
        <f t="shared" si="23"/>
        <v>0</v>
      </c>
    </row>
    <row r="110" spans="1:27" ht="36">
      <c r="A110" s="56"/>
      <c r="B110" s="18"/>
      <c r="C110" s="81" t="s">
        <v>93</v>
      </c>
      <c r="D110" s="17">
        <f t="shared" si="20"/>
        <v>22317920</v>
      </c>
      <c r="E110" s="17"/>
      <c r="F110" s="17">
        <f t="shared" si="21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7"/>
        <v>62.61332046176346</v>
      </c>
      <c r="K110" s="48">
        <f t="shared" si="22"/>
        <v>98.063093122807</v>
      </c>
      <c r="L110" s="73"/>
      <c r="M110" s="42">
        <f t="shared" si="19"/>
        <v>276009.23000000045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</f>
        <v>4550000</v>
      </c>
      <c r="V110" s="87">
        <v>1000000</v>
      </c>
      <c r="W110" s="87"/>
      <c r="X110" s="87">
        <v>2017920</v>
      </c>
      <c r="Y110" s="87">
        <v>500000</v>
      </c>
      <c r="Z110" s="42">
        <f t="shared" si="24"/>
        <v>22317920</v>
      </c>
      <c r="AA110" s="45">
        <f t="shared" si="23"/>
        <v>0</v>
      </c>
    </row>
    <row r="111" spans="1:27" ht="18">
      <c r="A111" s="56"/>
      <c r="B111" s="18"/>
      <c r="C111" s="81" t="s">
        <v>94</v>
      </c>
      <c r="D111" s="17">
        <f t="shared" si="20"/>
        <v>1000000</v>
      </c>
      <c r="E111" s="17"/>
      <c r="F111" s="17">
        <f t="shared" si="21"/>
        <v>1000000</v>
      </c>
      <c r="G111" s="17">
        <v>1000000</v>
      </c>
      <c r="H111" s="54"/>
      <c r="I111" s="54"/>
      <c r="J111" s="84">
        <f t="shared" si="17"/>
        <v>0</v>
      </c>
      <c r="K111" s="48">
        <f t="shared" si="22"/>
        <v>0</v>
      </c>
      <c r="L111" s="73"/>
      <c r="M111" s="42">
        <f t="shared" si="19"/>
        <v>400000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4"/>
        <v>1000000</v>
      </c>
      <c r="AA111" s="45">
        <f t="shared" si="23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156430221.43</v>
      </c>
      <c r="I112" s="8"/>
      <c r="J112" s="8">
        <f>H112/D112*100</f>
        <v>38.68647824316227</v>
      </c>
      <c r="K112" s="101">
        <f t="shared" si="22"/>
        <v>80.21617966654169</v>
      </c>
      <c r="L112" s="73"/>
      <c r="M112" s="47">
        <f>(N112+O112+P112+Q112+R112+S112+T112)-H112</f>
        <v>38580588.20999998</v>
      </c>
      <c r="N112" s="47">
        <f aca="true" t="shared" si="25" ref="N112:Y112">N83+N28+N11</f>
        <v>3100000</v>
      </c>
      <c r="O112" s="47">
        <f t="shared" si="25"/>
        <v>18754577.81</v>
      </c>
      <c r="P112" s="47">
        <f t="shared" si="25"/>
        <v>30315714.619999997</v>
      </c>
      <c r="Q112" s="47">
        <f t="shared" si="25"/>
        <v>26673111.33</v>
      </c>
      <c r="R112" s="47">
        <f t="shared" si="25"/>
        <v>45258646.55</v>
      </c>
      <c r="S112" s="47">
        <f t="shared" si="25"/>
        <v>20495454.4</v>
      </c>
      <c r="T112" s="47">
        <f t="shared" si="25"/>
        <v>50413304.93</v>
      </c>
      <c r="U112" s="47">
        <f t="shared" si="25"/>
        <v>53196634.4</v>
      </c>
      <c r="V112" s="47">
        <f t="shared" si="25"/>
        <v>29521165.28</v>
      </c>
      <c r="W112" s="47">
        <f t="shared" si="25"/>
        <v>42556290.550000004</v>
      </c>
      <c r="X112" s="47">
        <f t="shared" si="25"/>
        <v>54289325.87</v>
      </c>
      <c r="Y112" s="47">
        <f t="shared" si="25"/>
        <v>29779513.69</v>
      </c>
      <c r="Z112" s="42">
        <f t="shared" si="24"/>
        <v>404353739.43</v>
      </c>
      <c r="AA112" s="45">
        <f t="shared" si="23"/>
        <v>0</v>
      </c>
    </row>
    <row r="113" ht="12.75">
      <c r="AA113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2018-04-10T13:08:35Z</cp:lastPrinted>
  <dcterms:created xsi:type="dcterms:W3CDTF">2014-01-17T10:52:16Z</dcterms:created>
  <dcterms:modified xsi:type="dcterms:W3CDTF">2019-07-19T11:30:28Z</dcterms:modified>
  <cp:category/>
  <cp:version/>
  <cp:contentType/>
  <cp:contentStatus/>
</cp:coreProperties>
</file>